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ilandics.eszter\Documents\KÖH KTSG\"/>
    </mc:Choice>
  </mc:AlternateContent>
  <xr:revisionPtr revIDLastSave="0" documentId="8_{46E88154-E462-471B-B440-24DB053309B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 közös módosítás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6" i="1" l="1"/>
  <c r="G8" i="1" l="1"/>
  <c r="F95" i="1"/>
  <c r="G94" i="1" s="1"/>
  <c r="G90" i="1" l="1"/>
  <c r="G91" i="1"/>
  <c r="G92" i="1"/>
  <c r="G93" i="1"/>
  <c r="F18" i="1"/>
  <c r="F26" i="1"/>
  <c r="D26" i="1"/>
  <c r="F24" i="1"/>
  <c r="D24" i="1"/>
  <c r="F22" i="1"/>
  <c r="D22" i="1"/>
  <c r="F21" i="1"/>
  <c r="D21" i="1"/>
  <c r="F19" i="1"/>
  <c r="D19" i="1"/>
  <c r="F17" i="1"/>
  <c r="D17" i="1"/>
  <c r="F68" i="1"/>
  <c r="D68" i="1"/>
  <c r="F67" i="1"/>
  <c r="D67" i="1"/>
  <c r="F86" i="1"/>
  <c r="C94" i="1"/>
  <c r="G72" i="1" s="1"/>
  <c r="B86" i="1"/>
  <c r="E72" i="1" l="1"/>
  <c r="F69" i="1"/>
  <c r="D69" i="1" l="1"/>
  <c r="F35" i="1" l="1"/>
  <c r="G34" i="1" s="1"/>
  <c r="D35" i="1"/>
  <c r="G65" i="1"/>
  <c r="G49" i="1"/>
  <c r="F48" i="1"/>
  <c r="F46" i="1"/>
  <c r="G12" i="1"/>
  <c r="G9" i="1"/>
  <c r="G31" i="1" s="1"/>
  <c r="G42" i="1" l="1"/>
  <c r="G70" i="1" s="1"/>
  <c r="G36" i="1"/>
  <c r="G30" i="1"/>
  <c r="E49" i="1"/>
  <c r="G71" i="1" l="1"/>
  <c r="E65" i="1"/>
  <c r="G84" i="1" l="1"/>
  <c r="G85" i="1"/>
  <c r="G81" i="1"/>
  <c r="G82" i="1"/>
  <c r="G83" i="1"/>
  <c r="E12" i="1"/>
  <c r="G86" i="1" l="1"/>
  <c r="D48" i="1"/>
  <c r="E34" i="1" l="1"/>
  <c r="E9" i="1"/>
  <c r="E31" i="1" s="1"/>
  <c r="D46" i="1"/>
  <c r="E42" i="1" s="1"/>
  <c r="E70" i="1" s="1"/>
  <c r="E30" i="1" l="1"/>
  <c r="E36" i="1" l="1"/>
  <c r="E71" i="1" l="1"/>
  <c r="E73" i="1" s="1"/>
  <c r="C85" i="1" l="1"/>
  <c r="C83" i="1"/>
  <c r="C82" i="1"/>
  <c r="C81" i="1"/>
  <c r="C84" i="1"/>
  <c r="E76" i="1"/>
  <c r="C86" i="1" l="1"/>
</calcChain>
</file>

<file path=xl/sharedStrings.xml><?xml version="1.0" encoding="utf-8"?>
<sst xmlns="http://schemas.openxmlformats.org/spreadsheetml/2006/main" count="108" uniqueCount="90">
  <si>
    <t>Egyéb költségtérítés</t>
  </si>
  <si>
    <t>Közlekedési  költségtérítés</t>
  </si>
  <si>
    <t>munkába járás költsége (autó, bérlet)</t>
  </si>
  <si>
    <r>
      <t xml:space="preserve">Gépkocsi használat </t>
    </r>
    <r>
      <rPr>
        <sz val="12"/>
        <color theme="1"/>
        <rFont val="Times New Roman"/>
        <family val="1"/>
        <charset val="238"/>
      </rPr>
      <t>(belföldi kiküldetés)</t>
    </r>
  </si>
  <si>
    <t xml:space="preserve">Személyi juttatások összesen:              </t>
  </si>
  <si>
    <t>Kifizetői adó</t>
  </si>
  <si>
    <t>Munkaadókat terhelő járulékok összesen</t>
  </si>
  <si>
    <t>Dologi kiadások:</t>
  </si>
  <si>
    <t>Üzemeltetési anyagok:</t>
  </si>
  <si>
    <t xml:space="preserve"> Kommunikációs szolgáltatások:</t>
  </si>
  <si>
    <r>
      <t xml:space="preserve"> </t>
    </r>
    <r>
      <rPr>
        <sz val="12"/>
        <color theme="1"/>
        <rFont val="Times New Roman"/>
        <family val="1"/>
        <charset val="238"/>
      </rPr>
      <t xml:space="preserve">Informatikai szolgáltatások </t>
    </r>
    <r>
      <rPr>
        <b/>
        <sz val="12"/>
        <color theme="1"/>
        <rFont val="Times New Roman"/>
        <family val="1"/>
        <charset val="238"/>
      </rPr>
      <t>5 %</t>
    </r>
  </si>
  <si>
    <t xml:space="preserve"> </t>
  </si>
  <si>
    <t>Egyéb szolgáltatási díjak</t>
  </si>
  <si>
    <t>Beszerzést terhelő Áfa kiadások</t>
  </si>
  <si>
    <t>Dologi kiadások összesen:</t>
  </si>
  <si>
    <t>Előzetesen Felszámított Áfa</t>
  </si>
  <si>
    <t xml:space="preserve">Bevételek összesen:  </t>
  </si>
  <si>
    <t>Állami támogatás</t>
  </si>
  <si>
    <t>Kiadások összesen:</t>
  </si>
  <si>
    <t>Cafetéria  járulékok</t>
  </si>
  <si>
    <t>Szociális hozzájárulási adó 13 % munkabér</t>
  </si>
  <si>
    <t>1 fő aljegyző</t>
  </si>
  <si>
    <t>1 fő jegyző</t>
  </si>
  <si>
    <t>Jutalom keret</t>
  </si>
  <si>
    <t>Darnózseli önkormányzat hozzájárulása a megállapodás alapján a dologi kiadások összege</t>
  </si>
  <si>
    <t>Lipót</t>
  </si>
  <si>
    <t>Kisbodak</t>
  </si>
  <si>
    <t>Dunaremete</t>
  </si>
  <si>
    <t>Hédervár</t>
  </si>
  <si>
    <t>Darnózseli</t>
  </si>
  <si>
    <t>Település</t>
  </si>
  <si>
    <t>Hozzájárulás</t>
  </si>
  <si>
    <t>Összesen:</t>
  </si>
  <si>
    <t>Üzemeltetési anyag</t>
  </si>
  <si>
    <t>Kommunikációs szolgáltatások</t>
  </si>
  <si>
    <t>Postabélyeg</t>
  </si>
  <si>
    <t>Banki költség</t>
  </si>
  <si>
    <t>Irodaszer nyomtatvány, csekk, festékpatron, akvi iratok, kellékek (Oryx)  ÁFA-t tartalmazza</t>
  </si>
  <si>
    <t xml:space="preserve">Bérleti díj  </t>
  </si>
  <si>
    <t>5 Önkormányzat hozzájárulása lakosságszám alapján:</t>
  </si>
  <si>
    <t>Darnózseli dologi kiadások:</t>
  </si>
  <si>
    <t>bérlet 1 fő</t>
  </si>
  <si>
    <t>1 fő ügyintéző bérlet - jegy térítés jogszabály szerint 86 %</t>
  </si>
  <si>
    <t>2 fő igazgatási ügyintéző (Gabi/ Tündi)</t>
  </si>
  <si>
    <t>Reprezentációs kiadások</t>
  </si>
  <si>
    <t>Továbbképzési hozzájárulás</t>
  </si>
  <si>
    <t xml:space="preserve">Továbbképzési hozzájárulás *27% </t>
  </si>
  <si>
    <t xml:space="preserve">IBSZ szolgáltatás   48.000 Ft/hó           </t>
  </si>
  <si>
    <t xml:space="preserve">Számítógépes rendszerfel. 149.600 Ft/hó  </t>
  </si>
  <si>
    <t>Kibervédelem 1200Ft/hó/gép + (ÁFA)      éves díj</t>
  </si>
  <si>
    <t>Törvény szerinti illetmények, munkabérek 11 fő bérével számolva a mellékelt tábla szerint 80 000 Ft illetményalappal,                           20 % illetménykiegészítéssel és bérek eltérítésével.</t>
  </si>
  <si>
    <t>Üres álláshely - pályázatírói / projektmenedzseri</t>
  </si>
  <si>
    <r>
      <rPr>
        <sz val="12"/>
        <rFont val="Times New Roman"/>
        <family val="1"/>
        <charset val="238"/>
      </rPr>
      <t xml:space="preserve">GDPR szolgáltatás  40.000Ft AAM (12 hónap)  </t>
    </r>
    <r>
      <rPr>
        <b/>
        <i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    </t>
    </r>
    <r>
      <rPr>
        <b/>
        <i/>
        <sz val="12"/>
        <rFont val="Times New Roman"/>
        <family val="1"/>
        <charset val="238"/>
      </rPr>
      <t xml:space="preserve">                   </t>
    </r>
  </si>
  <si>
    <t>Egészségügyi hozzájárulás (szemüveg) 3 fő * 70.000 Ft</t>
  </si>
  <si>
    <t xml:space="preserve">10 km*2 út*21 nap*11 hó*30 Ft/km </t>
  </si>
  <si>
    <t xml:space="preserve">22 km*2 út *21 nap*11 hó*30Ft/km </t>
  </si>
  <si>
    <t>8 km*2 út*21 nap*11 hó*30 Ft/km</t>
  </si>
  <si>
    <t>5 km*2 út*21 nap*11 hó*30 Ft/km</t>
  </si>
  <si>
    <t>26 km*2 út*21 nap*11 hó*30 Ft/km</t>
  </si>
  <si>
    <t>autó 7 fő</t>
  </si>
  <si>
    <t>15 km pályázatíró</t>
  </si>
  <si>
    <t>Banki költség hozzájárulás 11- 12 fő * 12.000 Ft/év</t>
  </si>
  <si>
    <t xml:space="preserve">Postabélyeg   AAM                                                      </t>
  </si>
  <si>
    <t>Banki költség     AAM</t>
  </si>
  <si>
    <t xml:space="preserve">Vizuál regiszter Nép.        +ÁFA   </t>
  </si>
  <si>
    <t>Jogtár   +ÁFA</t>
  </si>
  <si>
    <t>EING + ÁFA</t>
  </si>
  <si>
    <t xml:space="preserve">Kataszter adatrögzítés        AAM               </t>
  </si>
  <si>
    <t>Kamarai tagdíj  ( Tündi részére települési főépítészi, Évi mérlegképes könyvelői)</t>
  </si>
  <si>
    <t>Lakólélek-szám</t>
  </si>
  <si>
    <t xml:space="preserve">   Önkormányzatok hozzájárulása a következőképpen alakul a 2025.01.01 lakosságlétszám alapján:</t>
  </si>
  <si>
    <t>Reprezentációs kiadások (szochó+ SZJA )</t>
  </si>
  <si>
    <t>Önkormányzati hivatalban foglalkoztatott köztisztviselők 2026. január 1-jétől történő illetményemelésére fordítandó összeg:</t>
  </si>
  <si>
    <r>
      <t xml:space="preserve">1 fő pénzügyi gazdálkodási ügyintéző (T.Évi/ </t>
    </r>
    <r>
      <rPr>
        <b/>
        <i/>
        <sz val="12"/>
        <color rgb="FFFF0000"/>
        <rFont val="Times New Roman"/>
        <family val="1"/>
        <charset val="238"/>
      </rPr>
      <t>M. Évi/pályázatíró</t>
    </r>
    <r>
      <rPr>
        <b/>
        <i/>
        <sz val="12"/>
        <color theme="1"/>
        <rFont val="Times New Roman"/>
        <family val="1"/>
        <charset val="238"/>
      </rPr>
      <t>)</t>
    </r>
  </si>
  <si>
    <t>40 km*2 út*17 nap*11 hó*30 Ft/km</t>
  </si>
  <si>
    <t xml:space="preserve">hivatal net 14.320.-Ft * 12 hó + (ÁFA)          </t>
  </si>
  <si>
    <t xml:space="preserve">telefon net 4.500 *12 hó + (ÁFA)         * 2                                 </t>
  </si>
  <si>
    <t>ÁFA: (171.840 + 108.000) * 0,05%</t>
  </si>
  <si>
    <t xml:space="preserve">4 telefon                  </t>
  </si>
  <si>
    <t>ÁFA: 250000 * 0,27 %</t>
  </si>
  <si>
    <t>Eszközbeszerzés (pl. papírdaráló, szék, laptop)  +ÁFA</t>
  </si>
  <si>
    <r>
      <t xml:space="preserve">1.277.290 * 27%  </t>
    </r>
    <r>
      <rPr>
        <sz val="11"/>
        <color rgb="FF00B050"/>
        <rFont val="Times New Roman"/>
        <family val="1"/>
        <charset val="238"/>
      </rPr>
      <t>(120.000 + 288.000 + 5000 + 214.290 + 500.000+150.000)</t>
    </r>
  </si>
  <si>
    <t>Óraszám</t>
  </si>
  <si>
    <t>Darnózseli  (20,23)</t>
  </si>
  <si>
    <t>Munkavégzésre irányuló egyéb jogviszony - megbízási díj    (Cs. Zs. - belső ellenőr T.P.)</t>
  </si>
  <si>
    <t>Béren kívüli juttatások Cafetéria a juttatás összege 400.000 Ft/fő/év   11 fő x 400.000 Ft/fő/év = 4.400.000 Ft  12/4.  266.667</t>
  </si>
  <si>
    <t>Időközi választás bérjárulékok</t>
  </si>
  <si>
    <t>Darnózseli maradványból időközi választás finanszírozása bérjárulékok</t>
  </si>
  <si>
    <t xml:space="preserve">4666667 Ft * 15 %     - adó </t>
  </si>
  <si>
    <t>DARNÓZSELI KÖZÖS ÖNKORMÁNYZATI HIVATAL                   2026. ÉVI KÖLTSÉGVETÉSÉNEK TERVEZETE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</si>
</sst>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#,##0\ &quot;Ft&quot;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2"/>
      <color theme="4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0"/>
      <color rgb="FF303744"/>
      <name val="Times New Roman"/>
      <family val="1"/>
      <charset val="238"/>
    </font>
    <font>
      <sz val="11"/>
      <color rgb="FF30374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3" fontId="1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0" fillId="0" borderId="0" xfId="0" applyNumberFormat="1"/>
    <xf numFmtId="0" fontId="0" fillId="0" borderId="0" xfId="0" applyFont="1"/>
    <xf numFmtId="3" fontId="1" fillId="0" borderId="5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3" fontId="11" fillId="0" borderId="5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3" fontId="10" fillId="0" borderId="4" xfId="0" applyNumberFormat="1" applyFont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2" fillId="0" borderId="5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1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2" borderId="18" xfId="0" applyNumberFormat="1" applyFont="1" applyFill="1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0" fontId="10" fillId="0" borderId="20" xfId="0" applyFont="1" applyBorder="1"/>
    <xf numFmtId="0" fontId="1" fillId="0" borderId="21" xfId="0" applyFont="1" applyBorder="1" applyAlignment="1">
      <alignment wrapText="1"/>
    </xf>
    <xf numFmtId="3" fontId="2" fillId="0" borderId="21" xfId="0" applyNumberFormat="1" applyFont="1" applyBorder="1" applyAlignment="1">
      <alignment horizontal="left" vertical="center" wrapText="1"/>
    </xf>
    <xf numFmtId="3" fontId="11" fillId="0" borderId="15" xfId="0" applyNumberFormat="1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4" fillId="0" borderId="5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horizontal="justify" vertical="center" wrapText="1"/>
    </xf>
    <xf numFmtId="3" fontId="5" fillId="0" borderId="5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wrapText="1"/>
    </xf>
    <xf numFmtId="3" fontId="1" fillId="4" borderId="9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 vertical="center" wrapText="1"/>
    </xf>
    <xf numFmtId="0" fontId="14" fillId="0" borderId="0" xfId="0" applyFont="1" applyFill="1" applyBorder="1"/>
    <xf numFmtId="3" fontId="0" fillId="0" borderId="0" xfId="0" applyNumberFormat="1" applyFont="1"/>
    <xf numFmtId="3" fontId="0" fillId="0" borderId="0" xfId="0" applyNumberFormat="1" applyFont="1" applyAlignment="1"/>
    <xf numFmtId="3" fontId="16" fillId="0" borderId="0" xfId="0" applyNumberFormat="1" applyFont="1" applyBorder="1" applyAlignment="1">
      <alignment vertical="center"/>
    </xf>
    <xf numFmtId="3" fontId="1" fillId="4" borderId="22" xfId="0" applyNumberFormat="1" applyFont="1" applyFill="1" applyBorder="1"/>
    <xf numFmtId="3" fontId="1" fillId="0" borderId="23" xfId="0" applyNumberFormat="1" applyFont="1" applyBorder="1" applyAlignment="1">
      <alignment wrapText="1"/>
    </xf>
    <xf numFmtId="3" fontId="1" fillId="0" borderId="21" xfId="0" applyNumberFormat="1" applyFont="1" applyBorder="1" applyAlignment="1">
      <alignment wrapText="1"/>
    </xf>
    <xf numFmtId="3" fontId="1" fillId="4" borderId="24" xfId="0" applyNumberFormat="1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" fillId="4" borderId="5" xfId="0" applyNumberFormat="1" applyFont="1" applyFill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justify" vertical="center" wrapText="1"/>
    </xf>
    <xf numFmtId="3" fontId="5" fillId="0" borderId="5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vertical="center" wrapText="1"/>
    </xf>
    <xf numFmtId="3" fontId="18" fillId="0" borderId="4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2" fillId="0" borderId="21" xfId="0" applyNumberFormat="1" applyFont="1" applyFill="1" applyBorder="1"/>
    <xf numFmtId="3" fontId="18" fillId="0" borderId="21" xfId="0" applyNumberFormat="1" applyFont="1" applyFill="1" applyBorder="1"/>
    <xf numFmtId="3" fontId="18" fillId="0" borderId="21" xfId="0" applyNumberFormat="1" applyFont="1" applyFill="1" applyBorder="1" applyAlignment="1">
      <alignment horizontal="right"/>
    </xf>
    <xf numFmtId="3" fontId="18" fillId="0" borderId="21" xfId="0" applyNumberFormat="1" applyFont="1" applyBorder="1"/>
    <xf numFmtId="3" fontId="19" fillId="0" borderId="4" xfId="0" applyNumberFormat="1" applyFont="1" applyFill="1" applyBorder="1" applyAlignment="1">
      <alignment horizontal="right" vertical="center" wrapText="1"/>
    </xf>
    <xf numFmtId="3" fontId="19" fillId="0" borderId="4" xfId="0" applyNumberFormat="1" applyFont="1" applyFill="1" applyBorder="1" applyAlignment="1">
      <alignment vertical="center" wrapText="1"/>
    </xf>
    <xf numFmtId="3" fontId="18" fillId="0" borderId="5" xfId="0" applyNumberFormat="1" applyFont="1" applyFill="1" applyBorder="1"/>
    <xf numFmtId="6" fontId="7" fillId="0" borderId="0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3" fontId="1" fillId="0" borderId="15" xfId="0" applyNumberFormat="1" applyFont="1" applyBorder="1" applyAlignment="1">
      <alignment vertical="center"/>
    </xf>
    <xf numFmtId="0" fontId="4" fillId="0" borderId="16" xfId="0" applyFont="1" applyBorder="1"/>
    <xf numFmtId="3" fontId="2" fillId="0" borderId="12" xfId="0" applyNumberFormat="1" applyFont="1" applyBorder="1"/>
    <xf numFmtId="164" fontId="1" fillId="0" borderId="10" xfId="0" applyNumberFormat="1" applyFont="1" applyBorder="1"/>
    <xf numFmtId="0" fontId="4" fillId="0" borderId="3" xfId="0" applyFont="1" applyBorder="1"/>
    <xf numFmtId="3" fontId="2" fillId="0" borderId="4" xfId="0" applyNumberFormat="1" applyFont="1" applyBorder="1"/>
    <xf numFmtId="0" fontId="4" fillId="0" borderId="17" xfId="0" applyFont="1" applyBorder="1"/>
    <xf numFmtId="3" fontId="2" fillId="0" borderId="11" xfId="0" applyNumberFormat="1" applyFont="1" applyBorder="1"/>
    <xf numFmtId="0" fontId="1" fillId="0" borderId="13" xfId="0" applyFont="1" applyBorder="1"/>
    <xf numFmtId="3" fontId="1" fillId="0" borderId="14" xfId="0" applyNumberFormat="1" applyFont="1" applyBorder="1"/>
    <xf numFmtId="164" fontId="11" fillId="0" borderId="15" xfId="0" applyNumberFormat="1" applyFont="1" applyBorder="1"/>
    <xf numFmtId="3" fontId="8" fillId="0" borderId="5" xfId="0" applyNumberFormat="1" applyFont="1" applyBorder="1" applyAlignment="1">
      <alignment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vertical="center" wrapText="1"/>
    </xf>
    <xf numFmtId="3" fontId="18" fillId="0" borderId="5" xfId="0" applyNumberFormat="1" applyFont="1" applyFill="1" applyBorder="1" applyAlignment="1">
      <alignment vertical="center" wrapText="1"/>
    </xf>
    <xf numFmtId="3" fontId="18" fillId="0" borderId="11" xfId="0" applyNumberFormat="1" applyFont="1" applyBorder="1" applyAlignment="1">
      <alignment vertical="center" wrapText="1"/>
    </xf>
    <xf numFmtId="3" fontId="18" fillId="0" borderId="9" xfId="0" applyNumberFormat="1" applyFont="1" applyBorder="1" applyAlignment="1">
      <alignment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0" fontId="10" fillId="0" borderId="25" xfId="0" applyFont="1" applyBorder="1" applyAlignment="1"/>
    <xf numFmtId="0" fontId="21" fillId="0" borderId="0" xfId="0" applyFont="1"/>
    <xf numFmtId="4" fontId="1" fillId="0" borderId="10" xfId="0" applyNumberFormat="1" applyFont="1" applyBorder="1"/>
    <xf numFmtId="4" fontId="11" fillId="0" borderId="15" xfId="0" applyNumberFormat="1" applyFont="1" applyBorder="1"/>
    <xf numFmtId="3" fontId="10" fillId="0" borderId="0" xfId="0" applyNumberFormat="1" applyFont="1"/>
    <xf numFmtId="3" fontId="10" fillId="0" borderId="20" xfId="0" applyNumberFormat="1" applyFont="1" applyBorder="1" applyAlignment="1"/>
    <xf numFmtId="3" fontId="22" fillId="0" borderId="0" xfId="0" applyNumberFormat="1" applyFont="1" applyAlignment="1">
      <alignment horizontal="right"/>
    </xf>
    <xf numFmtId="3" fontId="14" fillId="0" borderId="0" xfId="0" applyNumberFormat="1" applyFont="1"/>
    <xf numFmtId="3" fontId="14" fillId="0" borderId="0" xfId="0" applyNumberFormat="1" applyFont="1" applyFill="1" applyBorder="1"/>
    <xf numFmtId="3" fontId="0" fillId="0" borderId="0" xfId="0" applyNumberFormat="1" applyBorder="1"/>
    <xf numFmtId="3" fontId="1" fillId="0" borderId="0" xfId="0" applyNumberFormat="1" applyFont="1" applyBorder="1" applyAlignment="1">
      <alignment vertical="center"/>
    </xf>
    <xf numFmtId="0" fontId="0" fillId="0" borderId="0" xfId="0" applyAlignment="1">
      <alignment wrapText="1"/>
    </xf>
    <xf numFmtId="3" fontId="9" fillId="2" borderId="27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vertical="center" wrapText="1"/>
    </xf>
    <xf numFmtId="3" fontId="2" fillId="5" borderId="4" xfId="0" applyNumberFormat="1" applyFont="1" applyFill="1" applyBorder="1" applyAlignment="1">
      <alignment vertical="center" wrapText="1"/>
    </xf>
    <xf numFmtId="3" fontId="1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 wrapText="1"/>
    </xf>
    <xf numFmtId="3" fontId="7" fillId="5" borderId="5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2" fillId="0" borderId="4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5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18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"/>
  <sheetViews>
    <sheetView tabSelected="1" topLeftCell="A70" zoomScale="80" zoomScaleNormal="80" workbookViewId="0">
      <selection activeCell="A35" sqref="A35:C35"/>
    </sheetView>
  </sheetViews>
  <sheetFormatPr defaultRowHeight="14.4" x14ac:dyDescent="0.3"/>
  <cols>
    <col min="1" max="1" width="14.33203125" customWidth="1"/>
    <col min="2" max="2" width="17.44140625" customWidth="1"/>
    <col min="3" max="3" width="46.33203125" customWidth="1"/>
    <col min="4" max="7" width="18.6640625" customWidth="1"/>
    <col min="8" max="8" width="22.109375" bestFit="1" customWidth="1"/>
    <col min="9" max="9" width="12.33203125" bestFit="1" customWidth="1"/>
    <col min="11" max="11" width="10.88671875" bestFit="1" customWidth="1"/>
  </cols>
  <sheetData>
    <row r="1" spans="1:11" x14ac:dyDescent="0.3">
      <c r="A1" s="168" t="s">
        <v>89</v>
      </c>
      <c r="B1" s="168"/>
      <c r="C1" s="168"/>
      <c r="D1" s="168"/>
      <c r="E1" s="168"/>
    </row>
    <row r="2" spans="1:11" x14ac:dyDescent="0.3">
      <c r="A2" s="168"/>
      <c r="B2" s="168"/>
      <c r="C2" s="168"/>
      <c r="D2" s="168"/>
      <c r="E2" s="168"/>
    </row>
    <row r="3" spans="1:11" ht="53.7" customHeight="1" x14ac:dyDescent="0.3">
      <c r="A3" s="168"/>
      <c r="B3" s="168"/>
      <c r="C3" s="168"/>
      <c r="D3" s="168"/>
      <c r="E3" s="168"/>
    </row>
    <row r="4" spans="1:11" ht="15" thickBot="1" x14ac:dyDescent="0.35">
      <c r="A4" s="101" t="s">
        <v>72</v>
      </c>
      <c r="B4" s="100"/>
      <c r="C4" s="100"/>
      <c r="D4" s="100"/>
      <c r="E4" s="14"/>
      <c r="F4" s="106">
        <v>17196051</v>
      </c>
      <c r="G4" s="104">
        <v>24298364</v>
      </c>
      <c r="H4" s="3"/>
    </row>
    <row r="5" spans="1:11" ht="46.95" customHeight="1" x14ac:dyDescent="0.3">
      <c r="A5" s="178" t="s">
        <v>50</v>
      </c>
      <c r="B5" s="179"/>
      <c r="C5" s="179"/>
      <c r="D5" s="31"/>
      <c r="E5" s="53">
        <v>115871811</v>
      </c>
      <c r="F5" s="105"/>
      <c r="G5" s="53">
        <v>118816341</v>
      </c>
      <c r="I5" s="111"/>
    </row>
    <row r="6" spans="1:11" ht="15.6" x14ac:dyDescent="0.3">
      <c r="A6" s="180" t="s">
        <v>51</v>
      </c>
      <c r="B6" s="181"/>
      <c r="C6" s="181"/>
      <c r="D6" s="32"/>
      <c r="E6" s="54"/>
      <c r="F6" s="55"/>
      <c r="G6" s="54">
        <v>8000000</v>
      </c>
      <c r="H6" s="107"/>
      <c r="I6" s="3"/>
      <c r="J6" s="3"/>
      <c r="K6" s="3"/>
    </row>
    <row r="7" spans="1:11" s="4" customFormat="1" ht="16.2" thickBot="1" x14ac:dyDescent="0.35">
      <c r="A7" s="182" t="s">
        <v>23</v>
      </c>
      <c r="B7" s="183"/>
      <c r="C7" s="183"/>
      <c r="D7" s="33"/>
      <c r="E7" s="56">
        <v>4000000</v>
      </c>
      <c r="F7" s="33"/>
      <c r="G7" s="56">
        <v>1200000</v>
      </c>
      <c r="H7" s="107"/>
      <c r="I7" s="3"/>
      <c r="J7" s="50"/>
      <c r="K7" s="50"/>
    </row>
    <row r="8" spans="1:11" ht="33" customHeight="1" x14ac:dyDescent="0.3">
      <c r="A8" s="184" t="s">
        <v>85</v>
      </c>
      <c r="B8" s="185"/>
      <c r="C8" s="186"/>
      <c r="D8" s="11"/>
      <c r="E8" s="57">
        <v>3960000</v>
      </c>
      <c r="F8" s="11"/>
      <c r="G8" s="57">
        <f>SUM(400000*11)+266667</f>
        <v>4666667</v>
      </c>
      <c r="H8" s="107"/>
      <c r="I8" s="51"/>
      <c r="J8" s="3"/>
      <c r="K8" s="3"/>
    </row>
    <row r="9" spans="1:11" ht="15.6" customHeight="1" x14ac:dyDescent="0.3">
      <c r="A9" s="118" t="s">
        <v>0</v>
      </c>
      <c r="B9" s="119"/>
      <c r="C9" s="119"/>
      <c r="D9" s="11"/>
      <c r="E9" s="1">
        <f>SUM(D10:D11)</f>
        <v>342000</v>
      </c>
      <c r="F9" s="11"/>
      <c r="G9" s="1">
        <f>SUM(F10:F11)</f>
        <v>354000</v>
      </c>
      <c r="H9" s="108"/>
      <c r="I9" s="52"/>
      <c r="J9" s="109"/>
      <c r="K9" s="3"/>
    </row>
    <row r="10" spans="1:11" ht="15.6" customHeight="1" x14ac:dyDescent="0.3">
      <c r="A10" s="146" t="s">
        <v>61</v>
      </c>
      <c r="B10" s="147"/>
      <c r="C10" s="147"/>
      <c r="D10" s="11">
        <v>132000</v>
      </c>
      <c r="E10" s="2"/>
      <c r="F10" s="11">
        <v>144000</v>
      </c>
      <c r="G10" s="2"/>
      <c r="H10" s="3"/>
      <c r="I10" s="110"/>
      <c r="J10" s="109"/>
      <c r="K10" s="3"/>
    </row>
    <row r="11" spans="1:11" ht="15.6" customHeight="1" x14ac:dyDescent="0.3">
      <c r="A11" s="146" t="s">
        <v>53</v>
      </c>
      <c r="B11" s="147"/>
      <c r="C11" s="147"/>
      <c r="D11" s="11">
        <v>210000</v>
      </c>
      <c r="E11" s="2"/>
      <c r="F11" s="11">
        <v>210000</v>
      </c>
      <c r="G11" s="2"/>
      <c r="H11" s="3"/>
      <c r="I11" s="52"/>
      <c r="J11" s="109"/>
      <c r="K11" s="3"/>
    </row>
    <row r="12" spans="1:11" ht="15.6" customHeight="1" x14ac:dyDescent="0.3">
      <c r="A12" s="118" t="s">
        <v>1</v>
      </c>
      <c r="B12" s="119"/>
      <c r="C12" s="119"/>
      <c r="D12" s="11"/>
      <c r="E12" s="1">
        <f>SUM(D17:D27)</f>
        <v>1449143</v>
      </c>
      <c r="F12" s="11"/>
      <c r="G12" s="1">
        <f>SUM(F17:F27)</f>
        <v>1619243</v>
      </c>
      <c r="H12" s="107"/>
      <c r="I12" s="50"/>
      <c r="J12" s="109"/>
      <c r="K12" s="3"/>
    </row>
    <row r="13" spans="1:11" ht="15.6" customHeight="1" x14ac:dyDescent="0.3">
      <c r="A13" s="146" t="s">
        <v>2</v>
      </c>
      <c r="B13" s="147"/>
      <c r="C13" s="147"/>
      <c r="D13" s="11"/>
      <c r="E13" s="2"/>
      <c r="F13" s="11"/>
      <c r="G13" s="2"/>
      <c r="H13" s="49"/>
      <c r="I13" s="52"/>
      <c r="J13" s="7"/>
    </row>
    <row r="14" spans="1:11" ht="15.6" customHeight="1" x14ac:dyDescent="0.3">
      <c r="A14" s="164" t="s">
        <v>59</v>
      </c>
      <c r="B14" s="165"/>
      <c r="C14" s="165"/>
      <c r="D14" s="11"/>
      <c r="E14" s="41"/>
      <c r="F14" s="11"/>
      <c r="G14" s="41"/>
    </row>
    <row r="15" spans="1:11" ht="15.6" customHeight="1" x14ac:dyDescent="0.3">
      <c r="A15" s="164" t="s">
        <v>41</v>
      </c>
      <c r="B15" s="165"/>
      <c r="C15" s="165"/>
      <c r="D15" s="11"/>
      <c r="E15" s="2"/>
      <c r="F15" s="11"/>
      <c r="G15" s="2"/>
    </row>
    <row r="16" spans="1:11" ht="15.6" customHeight="1" x14ac:dyDescent="0.3">
      <c r="A16" s="164" t="s">
        <v>73</v>
      </c>
      <c r="B16" s="165"/>
      <c r="C16" s="165"/>
      <c r="D16" s="12"/>
      <c r="E16" s="41"/>
      <c r="F16" s="12"/>
      <c r="G16" s="41"/>
    </row>
    <row r="17" spans="1:8" ht="15.6" customHeight="1" x14ac:dyDescent="0.3">
      <c r="A17" s="166" t="s">
        <v>54</v>
      </c>
      <c r="B17" s="167"/>
      <c r="C17" s="167"/>
      <c r="D17" s="12">
        <f>SUM(10*2*21*11*30)</f>
        <v>138600</v>
      </c>
      <c r="E17" s="2"/>
      <c r="F17" s="12">
        <f>SUM(10*2*21*11*30)</f>
        <v>138600</v>
      </c>
      <c r="G17" s="2"/>
    </row>
    <row r="18" spans="1:8" ht="15.6" customHeight="1" x14ac:dyDescent="0.3">
      <c r="A18" s="187" t="s">
        <v>60</v>
      </c>
      <c r="B18" s="188"/>
      <c r="C18" s="189"/>
      <c r="D18" s="48"/>
      <c r="E18" s="2"/>
      <c r="F18" s="48">
        <f>SUM(15*2*21*9*30)</f>
        <v>170100</v>
      </c>
      <c r="G18" s="2"/>
    </row>
    <row r="19" spans="1:8" ht="15.6" customHeight="1" x14ac:dyDescent="0.3">
      <c r="A19" s="190" t="s">
        <v>55</v>
      </c>
      <c r="B19" s="191"/>
      <c r="C19" s="192"/>
      <c r="D19" s="60">
        <f>SUM(22*2*21*11*30)</f>
        <v>304920</v>
      </c>
      <c r="E19" s="26"/>
      <c r="F19" s="60">
        <f>SUM(22*2*21*11*30)</f>
        <v>304920</v>
      </c>
      <c r="G19" s="2"/>
    </row>
    <row r="20" spans="1:8" ht="15.6" customHeight="1" x14ac:dyDescent="0.3">
      <c r="A20" s="164" t="s">
        <v>43</v>
      </c>
      <c r="B20" s="165"/>
      <c r="C20" s="165"/>
      <c r="D20" s="60"/>
      <c r="E20" s="93"/>
      <c r="F20" s="60"/>
      <c r="G20" s="41"/>
    </row>
    <row r="21" spans="1:8" ht="15.6" customHeight="1" x14ac:dyDescent="0.3">
      <c r="A21" s="166" t="s">
        <v>56</v>
      </c>
      <c r="B21" s="167"/>
      <c r="C21" s="167"/>
      <c r="D21" s="60">
        <f>SUM(8*2*21*11*30)</f>
        <v>110880</v>
      </c>
      <c r="E21" s="26"/>
      <c r="F21" s="60">
        <f>SUM(8*2*21*11*30)</f>
        <v>110880</v>
      </c>
      <c r="G21" s="2"/>
    </row>
    <row r="22" spans="1:8" ht="15.6" customHeight="1" x14ac:dyDescent="0.3">
      <c r="A22" s="166" t="s">
        <v>57</v>
      </c>
      <c r="B22" s="167"/>
      <c r="C22" s="167"/>
      <c r="D22" s="60">
        <f>SUM(5*2*21*11*30)</f>
        <v>69300</v>
      </c>
      <c r="E22" s="26"/>
      <c r="F22" s="60">
        <f>SUM(5*2*21*11*30)</f>
        <v>69300</v>
      </c>
      <c r="G22" s="2"/>
    </row>
    <row r="23" spans="1:8" ht="15.6" customHeight="1" x14ac:dyDescent="0.3">
      <c r="A23" s="164" t="s">
        <v>21</v>
      </c>
      <c r="B23" s="165"/>
      <c r="C23" s="165"/>
      <c r="D23" s="60"/>
      <c r="E23" s="93"/>
      <c r="F23" s="60"/>
      <c r="G23" s="41"/>
    </row>
    <row r="24" spans="1:8" ht="15.6" customHeight="1" x14ac:dyDescent="0.3">
      <c r="A24" s="166" t="s">
        <v>74</v>
      </c>
      <c r="B24" s="167"/>
      <c r="C24" s="167"/>
      <c r="D24" s="60">
        <f>SUM(40*2*17*11*30)</f>
        <v>448800</v>
      </c>
      <c r="E24" s="26"/>
      <c r="F24" s="60">
        <f>SUM(40*2*17*11*30)</f>
        <v>448800</v>
      </c>
      <c r="G24" s="2"/>
    </row>
    <row r="25" spans="1:8" ht="15.6" customHeight="1" x14ac:dyDescent="0.3">
      <c r="A25" s="164" t="s">
        <v>22</v>
      </c>
      <c r="B25" s="147"/>
      <c r="C25" s="147"/>
      <c r="D25" s="12"/>
      <c r="E25" s="2"/>
      <c r="F25" s="12"/>
      <c r="G25" s="2"/>
    </row>
    <row r="26" spans="1:8" ht="15.6" customHeight="1" x14ac:dyDescent="0.3">
      <c r="A26" s="166" t="s">
        <v>58</v>
      </c>
      <c r="B26" s="167"/>
      <c r="C26" s="167"/>
      <c r="D26" s="12">
        <f>SUM(26*2*21*11*30)</f>
        <v>360360</v>
      </c>
      <c r="E26" s="2"/>
      <c r="F26" s="12">
        <f>SUM(26*2*21*11*30)</f>
        <v>360360</v>
      </c>
      <c r="G26" s="2"/>
    </row>
    <row r="27" spans="1:8" ht="15.6" customHeight="1" x14ac:dyDescent="0.3">
      <c r="A27" s="164" t="s">
        <v>42</v>
      </c>
      <c r="B27" s="165"/>
      <c r="C27" s="165"/>
      <c r="D27" s="12">
        <v>16283</v>
      </c>
      <c r="E27" s="41"/>
      <c r="F27" s="12">
        <v>16283</v>
      </c>
      <c r="G27" s="41"/>
    </row>
    <row r="28" spans="1:8" ht="15.6" customHeight="1" x14ac:dyDescent="0.3">
      <c r="A28" s="118" t="s">
        <v>3</v>
      </c>
      <c r="B28" s="119"/>
      <c r="C28" s="119"/>
      <c r="D28" s="11"/>
      <c r="E28" s="1">
        <v>200000</v>
      </c>
      <c r="F28" s="11"/>
      <c r="G28" s="1">
        <v>200000</v>
      </c>
      <c r="H28" s="47"/>
    </row>
    <row r="29" spans="1:8" ht="15.6" x14ac:dyDescent="0.3">
      <c r="A29" s="146" t="s">
        <v>84</v>
      </c>
      <c r="B29" s="147"/>
      <c r="C29" s="147"/>
      <c r="D29" s="11"/>
      <c r="E29" s="58">
        <v>1166000</v>
      </c>
      <c r="F29" s="11"/>
      <c r="G29" s="58">
        <v>1166000</v>
      </c>
    </row>
    <row r="30" spans="1:8" ht="31.95" customHeight="1" x14ac:dyDescent="0.3">
      <c r="A30" s="195" t="s">
        <v>4</v>
      </c>
      <c r="B30" s="196"/>
      <c r="C30" s="196"/>
      <c r="D30" s="11"/>
      <c r="E30" s="23">
        <f>SUM(E5:E29)</f>
        <v>126988954</v>
      </c>
      <c r="F30" s="11"/>
      <c r="G30" s="23">
        <f>SUM(G5:G29)</f>
        <v>136022251</v>
      </c>
    </row>
    <row r="31" spans="1:8" ht="15.6" customHeight="1" x14ac:dyDescent="0.3">
      <c r="A31" s="118" t="s">
        <v>20</v>
      </c>
      <c r="B31" s="119"/>
      <c r="C31" s="119"/>
      <c r="D31" s="11"/>
      <c r="E31" s="1">
        <f>(E5+E6+E7+E8+E9+E28+E29*0.9)*13%</f>
        <v>16305017.43</v>
      </c>
      <c r="F31" s="11"/>
      <c r="G31" s="1">
        <f>(G5+G6+G7+G8+G9+G28+G29*0.9)*13%</f>
        <v>17457233.039999999</v>
      </c>
    </row>
    <row r="32" spans="1:8" ht="15.6" x14ac:dyDescent="0.3">
      <c r="A32" s="146"/>
      <c r="B32" s="147"/>
      <c r="C32" s="147"/>
      <c r="D32" s="11"/>
      <c r="E32" s="24"/>
      <c r="F32" s="11"/>
      <c r="G32" s="24"/>
    </row>
    <row r="33" spans="1:11" ht="15.6" x14ac:dyDescent="0.3">
      <c r="A33" s="118" t="s">
        <v>5</v>
      </c>
      <c r="B33" s="119"/>
      <c r="C33" s="119"/>
      <c r="D33" s="11"/>
      <c r="E33" s="1"/>
      <c r="F33" s="11"/>
      <c r="G33" s="1"/>
    </row>
    <row r="34" spans="1:11" ht="15.75" customHeight="1" x14ac:dyDescent="0.3">
      <c r="A34" s="193" t="s">
        <v>19</v>
      </c>
      <c r="B34" s="194"/>
      <c r="C34" s="194"/>
      <c r="D34" s="11"/>
      <c r="E34" s="1">
        <f>SUM(D35:D35)</f>
        <v>594000</v>
      </c>
      <c r="F34" s="11"/>
      <c r="G34" s="1">
        <f>SUM(F35:F35)</f>
        <v>700000.04999999993</v>
      </c>
    </row>
    <row r="35" spans="1:11" ht="15.6" x14ac:dyDescent="0.3">
      <c r="A35" s="146" t="s">
        <v>88</v>
      </c>
      <c r="B35" s="147"/>
      <c r="C35" s="147"/>
      <c r="D35" s="11">
        <f>SUM(E8*15%)</f>
        <v>594000</v>
      </c>
      <c r="E35" s="2"/>
      <c r="F35" s="11">
        <f>SUM(G8*15%)</f>
        <v>700000.04999999993</v>
      </c>
      <c r="G35" s="2"/>
    </row>
    <row r="36" spans="1:11" ht="31.95" customHeight="1" x14ac:dyDescent="0.3">
      <c r="A36" s="195" t="s">
        <v>6</v>
      </c>
      <c r="B36" s="196"/>
      <c r="C36" s="196"/>
      <c r="D36" s="11"/>
      <c r="E36" s="10">
        <f>SUM(E31:E35)</f>
        <v>16899017.43</v>
      </c>
      <c r="F36" s="11"/>
      <c r="G36" s="10">
        <f>SUM(G31:G35)</f>
        <v>18157233.09</v>
      </c>
    </row>
    <row r="37" spans="1:11" ht="31.95" customHeight="1" x14ac:dyDescent="0.3">
      <c r="A37" s="197" t="s">
        <v>86</v>
      </c>
      <c r="B37" s="198"/>
      <c r="C37" s="199"/>
      <c r="D37" s="116"/>
      <c r="E37" s="117"/>
      <c r="F37" s="116"/>
      <c r="G37" s="117">
        <v>439815</v>
      </c>
    </row>
    <row r="38" spans="1:11" ht="15.6" x14ac:dyDescent="0.3">
      <c r="A38" s="118" t="s">
        <v>7</v>
      </c>
      <c r="B38" s="119"/>
      <c r="C38" s="119"/>
      <c r="D38" s="11"/>
      <c r="E38" s="1"/>
      <c r="F38" s="11"/>
      <c r="G38" s="1"/>
    </row>
    <row r="39" spans="1:11" ht="15.75" customHeight="1" x14ac:dyDescent="0.3">
      <c r="A39" s="118" t="s">
        <v>8</v>
      </c>
      <c r="B39" s="119"/>
      <c r="C39" s="119"/>
      <c r="D39" s="11"/>
      <c r="E39" s="1"/>
      <c r="F39" s="11"/>
      <c r="G39" s="1"/>
    </row>
    <row r="40" spans="1:11" ht="34.200000000000003" customHeight="1" x14ac:dyDescent="0.3">
      <c r="A40" s="146" t="s">
        <v>37</v>
      </c>
      <c r="B40" s="147"/>
      <c r="C40" s="147"/>
      <c r="D40" s="11"/>
      <c r="E40" s="1">
        <v>495000</v>
      </c>
      <c r="F40" s="11"/>
      <c r="G40" s="1">
        <v>495000</v>
      </c>
      <c r="H40" s="8"/>
      <c r="K40" s="3"/>
    </row>
    <row r="41" spans="1:11" ht="16.2" x14ac:dyDescent="0.3">
      <c r="A41" s="176"/>
      <c r="B41" s="177"/>
      <c r="C41" s="177"/>
      <c r="D41" s="13"/>
      <c r="E41" s="1"/>
      <c r="F41" s="13"/>
      <c r="G41" s="1"/>
    </row>
    <row r="42" spans="1:11" ht="15.6" customHeight="1" x14ac:dyDescent="0.3">
      <c r="A42" s="118" t="s">
        <v>9</v>
      </c>
      <c r="B42" s="119"/>
      <c r="C42" s="119"/>
      <c r="D42" s="11"/>
      <c r="E42" s="1">
        <f>SUM(D44:D48)</f>
        <v>611332</v>
      </c>
      <c r="F42" s="11"/>
      <c r="G42" s="1">
        <f>SUM(F44:F48)</f>
        <v>611332</v>
      </c>
      <c r="H42" s="9"/>
    </row>
    <row r="43" spans="1:11" ht="15.6" customHeight="1" x14ac:dyDescent="0.3">
      <c r="A43" s="118" t="s">
        <v>10</v>
      </c>
      <c r="B43" s="119"/>
      <c r="C43" s="119"/>
      <c r="D43" s="11"/>
      <c r="E43" s="1"/>
      <c r="F43" s="11"/>
      <c r="G43" s="1"/>
    </row>
    <row r="44" spans="1:11" ht="15.6" x14ac:dyDescent="0.3">
      <c r="A44" s="146" t="s">
        <v>75</v>
      </c>
      <c r="B44" s="147"/>
      <c r="C44" s="147"/>
      <c r="D44" s="59">
        <v>171840</v>
      </c>
      <c r="E44" s="2"/>
      <c r="F44" s="59">
        <v>171840</v>
      </c>
      <c r="G44" s="2"/>
    </row>
    <row r="45" spans="1:11" ht="15.6" x14ac:dyDescent="0.3">
      <c r="A45" s="146" t="s">
        <v>76</v>
      </c>
      <c r="B45" s="147"/>
      <c r="C45" s="147"/>
      <c r="D45" s="59">
        <v>108000</v>
      </c>
      <c r="E45" s="2"/>
      <c r="F45" s="59">
        <v>108000</v>
      </c>
      <c r="G45" s="2"/>
    </row>
    <row r="46" spans="1:11" ht="15.75" customHeight="1" x14ac:dyDescent="0.3">
      <c r="A46" s="146" t="s">
        <v>77</v>
      </c>
      <c r="B46" s="147"/>
      <c r="C46" s="147"/>
      <c r="D46" s="59">
        <f>SUM(D44:D45)*0.05</f>
        <v>13992</v>
      </c>
      <c r="E46" s="2"/>
      <c r="F46" s="59">
        <f>SUM(F44:F45)*0.05</f>
        <v>13992</v>
      </c>
      <c r="G46" s="2"/>
    </row>
    <row r="47" spans="1:11" ht="15.6" customHeight="1" x14ac:dyDescent="0.3">
      <c r="A47" s="146" t="s">
        <v>78</v>
      </c>
      <c r="B47" s="147"/>
      <c r="C47" s="147"/>
      <c r="D47" s="59">
        <v>250000</v>
      </c>
      <c r="E47" s="2"/>
      <c r="F47" s="59">
        <v>250000</v>
      </c>
      <c r="G47" s="2"/>
    </row>
    <row r="48" spans="1:11" ht="15.6" customHeight="1" x14ac:dyDescent="0.3">
      <c r="A48" s="146" t="s">
        <v>79</v>
      </c>
      <c r="B48" s="147"/>
      <c r="C48" s="147"/>
      <c r="D48" s="59">
        <f>SUM(D47:D47)*0.27</f>
        <v>67500</v>
      </c>
      <c r="E48" s="1"/>
      <c r="F48" s="59">
        <f>SUM(F47:F47)*0.27</f>
        <v>67500</v>
      </c>
      <c r="G48" s="1"/>
    </row>
    <row r="49" spans="1:8" ht="15.75" customHeight="1" x14ac:dyDescent="0.3">
      <c r="A49" s="118" t="s">
        <v>12</v>
      </c>
      <c r="B49" s="119"/>
      <c r="C49" s="119"/>
      <c r="D49" s="11"/>
      <c r="E49" s="5">
        <f>SUM(D50:D64)</f>
        <v>5442490</v>
      </c>
      <c r="F49" s="11"/>
      <c r="G49" s="5">
        <f>SUM(F50:F64)</f>
        <v>5442490</v>
      </c>
    </row>
    <row r="50" spans="1:8" ht="15.6" customHeight="1" x14ac:dyDescent="0.3">
      <c r="A50" s="148" t="s">
        <v>62</v>
      </c>
      <c r="B50" s="149"/>
      <c r="C50" s="149"/>
      <c r="D50" s="75">
        <v>380000</v>
      </c>
      <c r="E50" s="64"/>
      <c r="F50" s="94">
        <v>380000</v>
      </c>
      <c r="G50" s="42"/>
      <c r="H50" s="9"/>
    </row>
    <row r="51" spans="1:8" ht="15.6" customHeight="1" x14ac:dyDescent="0.3">
      <c r="A51" s="148" t="s">
        <v>63</v>
      </c>
      <c r="B51" s="149"/>
      <c r="C51" s="149"/>
      <c r="D51" s="75">
        <v>200000</v>
      </c>
      <c r="E51" s="64"/>
      <c r="F51" s="94">
        <v>200000</v>
      </c>
      <c r="G51" s="42"/>
      <c r="H51" s="9"/>
    </row>
    <row r="52" spans="1:8" ht="15.6" customHeight="1" x14ac:dyDescent="0.3">
      <c r="A52" s="148" t="s">
        <v>38</v>
      </c>
      <c r="B52" s="149"/>
      <c r="C52" s="149"/>
      <c r="D52" s="63">
        <v>120000</v>
      </c>
      <c r="E52" s="64"/>
      <c r="F52" s="63">
        <v>120000</v>
      </c>
      <c r="G52" s="42"/>
    </row>
    <row r="53" spans="1:8" ht="15.6" customHeight="1" x14ac:dyDescent="0.3">
      <c r="A53" s="173" t="s">
        <v>64</v>
      </c>
      <c r="B53" s="174"/>
      <c r="C53" s="174"/>
      <c r="D53" s="67">
        <v>120000</v>
      </c>
      <c r="E53" s="65"/>
      <c r="F53" s="67">
        <v>120000</v>
      </c>
      <c r="G53" s="43"/>
    </row>
    <row r="54" spans="1:8" ht="15.6" customHeight="1" x14ac:dyDescent="0.3">
      <c r="A54" s="173" t="s">
        <v>67</v>
      </c>
      <c r="B54" s="175"/>
      <c r="C54" s="175"/>
      <c r="D54" s="76">
        <v>444000</v>
      </c>
      <c r="E54" s="65"/>
      <c r="F54" s="95">
        <v>444000</v>
      </c>
      <c r="G54" s="43"/>
    </row>
    <row r="55" spans="1:8" ht="15.6" customHeight="1" x14ac:dyDescent="0.3">
      <c r="A55" s="173" t="s">
        <v>49</v>
      </c>
      <c r="B55" s="174"/>
      <c r="C55" s="174"/>
      <c r="D55" s="67">
        <v>288000</v>
      </c>
      <c r="E55" s="68"/>
      <c r="F55" s="67">
        <v>288000</v>
      </c>
      <c r="G55" s="2"/>
    </row>
    <row r="56" spans="1:8" ht="15.6" customHeight="1" x14ac:dyDescent="0.3">
      <c r="A56" s="169" t="s">
        <v>47</v>
      </c>
      <c r="B56" s="170"/>
      <c r="C56" s="170"/>
      <c r="D56" s="66">
        <v>576000</v>
      </c>
      <c r="E56" s="69"/>
      <c r="F56" s="66">
        <v>576000</v>
      </c>
      <c r="G56" s="44"/>
    </row>
    <row r="57" spans="1:8" ht="15.6" customHeight="1" x14ac:dyDescent="0.3">
      <c r="A57" s="169" t="s">
        <v>48</v>
      </c>
      <c r="B57" s="170"/>
      <c r="C57" s="170"/>
      <c r="D57" s="66">
        <v>1795200</v>
      </c>
      <c r="E57" s="69"/>
      <c r="F57" s="66">
        <v>1795200</v>
      </c>
      <c r="G57" s="44"/>
    </row>
    <row r="58" spans="1:8" ht="15.6" customHeight="1" x14ac:dyDescent="0.3">
      <c r="A58" s="171" t="s">
        <v>52</v>
      </c>
      <c r="B58" s="172"/>
      <c r="C58" s="172"/>
      <c r="D58" s="66">
        <v>480000</v>
      </c>
      <c r="E58" s="70"/>
      <c r="F58" s="66">
        <v>480000</v>
      </c>
      <c r="G58" s="41"/>
    </row>
    <row r="59" spans="1:8" ht="15.6" customHeight="1" x14ac:dyDescent="0.3">
      <c r="A59" s="144" t="s">
        <v>44</v>
      </c>
      <c r="B59" s="145"/>
      <c r="C59" s="145"/>
      <c r="D59" s="99">
        <v>150000</v>
      </c>
      <c r="E59" s="70" t="s">
        <v>11</v>
      </c>
      <c r="F59" s="99">
        <v>150000</v>
      </c>
      <c r="G59" s="41" t="s">
        <v>11</v>
      </c>
    </row>
    <row r="60" spans="1:8" ht="15.6" x14ac:dyDescent="0.3">
      <c r="A60" s="131" t="s">
        <v>45</v>
      </c>
      <c r="B60" s="132"/>
      <c r="C60" s="132"/>
      <c r="D60" s="77">
        <v>100000</v>
      </c>
      <c r="E60" s="65"/>
      <c r="F60" s="77">
        <v>100000</v>
      </c>
      <c r="G60" s="43"/>
    </row>
    <row r="61" spans="1:8" ht="15.6" x14ac:dyDescent="0.3">
      <c r="A61" s="159" t="s">
        <v>68</v>
      </c>
      <c r="B61" s="160"/>
      <c r="C61" s="161"/>
      <c r="D61" s="71">
        <v>70000</v>
      </c>
      <c r="E61" s="65"/>
      <c r="F61" s="71">
        <v>70000</v>
      </c>
      <c r="G61" s="43"/>
    </row>
    <row r="62" spans="1:8" ht="15.6" x14ac:dyDescent="0.3">
      <c r="A62" s="35" t="s">
        <v>65</v>
      </c>
      <c r="B62" s="36"/>
      <c r="C62" s="37"/>
      <c r="D62" s="73">
        <v>214290</v>
      </c>
      <c r="E62" s="65"/>
      <c r="F62" s="73">
        <v>214290</v>
      </c>
      <c r="G62" s="43"/>
    </row>
    <row r="63" spans="1:8" ht="15.6" x14ac:dyDescent="0.3">
      <c r="A63" s="140" t="s">
        <v>80</v>
      </c>
      <c r="B63" s="141"/>
      <c r="C63" s="142"/>
      <c r="D63" s="72">
        <v>500000</v>
      </c>
      <c r="E63" s="65"/>
      <c r="F63" s="72">
        <v>500000</v>
      </c>
      <c r="G63" s="43"/>
    </row>
    <row r="64" spans="1:8" ht="15.6" x14ac:dyDescent="0.3">
      <c r="A64" s="38" t="s">
        <v>66</v>
      </c>
      <c r="B64" s="39"/>
      <c r="C64" s="40"/>
      <c r="D64" s="74">
        <v>5000</v>
      </c>
      <c r="E64" s="43"/>
      <c r="F64" s="74">
        <v>5000</v>
      </c>
      <c r="G64" s="43"/>
    </row>
    <row r="65" spans="1:8" ht="15.6" customHeight="1" x14ac:dyDescent="0.3">
      <c r="A65" s="155" t="s">
        <v>15</v>
      </c>
      <c r="B65" s="156"/>
      <c r="C65" s="156"/>
      <c r="D65" s="61"/>
      <c r="E65" s="25">
        <f>SUM(D67:D68:D69)</f>
        <v>425208.30000000005</v>
      </c>
      <c r="F65" s="61"/>
      <c r="G65" s="25">
        <f>SUM(F67:F68:F69)</f>
        <v>425208.30000000005</v>
      </c>
      <c r="H65" s="7"/>
    </row>
    <row r="66" spans="1:8" ht="15.6" customHeight="1" x14ac:dyDescent="0.3">
      <c r="A66" s="157" t="s">
        <v>13</v>
      </c>
      <c r="B66" s="158"/>
      <c r="C66" s="158"/>
      <c r="D66" s="61"/>
      <c r="E66" s="26"/>
      <c r="F66" s="61"/>
      <c r="G66" s="26"/>
      <c r="H66" s="8"/>
    </row>
    <row r="67" spans="1:8" ht="15.6" customHeight="1" x14ac:dyDescent="0.3">
      <c r="A67" s="162" t="s">
        <v>81</v>
      </c>
      <c r="B67" s="163"/>
      <c r="C67" s="163"/>
      <c r="D67" s="67">
        <f>SUM(D53+D55+D62+D63+D64+D59)*27%</f>
        <v>344868.30000000005</v>
      </c>
      <c r="E67" s="96"/>
      <c r="F67" s="67">
        <f>SUM(F53+F55+F62+F63+F64+F59)*27%</f>
        <v>344868.30000000005</v>
      </c>
      <c r="G67" s="26"/>
      <c r="H67" s="8"/>
    </row>
    <row r="68" spans="1:8" ht="15.6" customHeight="1" x14ac:dyDescent="0.3">
      <c r="A68" s="152" t="s">
        <v>71</v>
      </c>
      <c r="B68" s="153"/>
      <c r="C68" s="154"/>
      <c r="D68" s="62">
        <f>SUM(190500*15%)+(190500*13%)</f>
        <v>53340</v>
      </c>
      <c r="E68" s="30"/>
      <c r="F68" s="62">
        <f>SUM(190500*15%)+(190500*13%)</f>
        <v>53340</v>
      </c>
      <c r="G68" s="30"/>
      <c r="H68" s="7"/>
    </row>
    <row r="69" spans="1:8" ht="15.6" customHeight="1" x14ac:dyDescent="0.3">
      <c r="A69" s="150" t="s">
        <v>46</v>
      </c>
      <c r="B69" s="151"/>
      <c r="C69" s="151"/>
      <c r="D69" s="97">
        <f>SUM(D60)*27%</f>
        <v>27000</v>
      </c>
      <c r="E69" s="98"/>
      <c r="F69" s="97">
        <f>SUM(F60*27%)</f>
        <v>27000</v>
      </c>
      <c r="G69" s="30"/>
      <c r="H69" s="7"/>
    </row>
    <row r="70" spans="1:8" ht="15.6" customHeight="1" thickBot="1" x14ac:dyDescent="0.35">
      <c r="A70" s="120" t="s">
        <v>14</v>
      </c>
      <c r="B70" s="121"/>
      <c r="C70" s="121"/>
      <c r="D70" s="27"/>
      <c r="E70" s="6">
        <f>SUM(E65,E49,E42,E40)</f>
        <v>6974030.2999999998</v>
      </c>
      <c r="F70" s="27"/>
      <c r="G70" s="6">
        <f>SUM(G65,G49,G42,G40)</f>
        <v>6974030.2999999998</v>
      </c>
      <c r="H70" s="45"/>
    </row>
    <row r="71" spans="1:8" ht="15.6" customHeight="1" thickBot="1" x14ac:dyDescent="0.35">
      <c r="A71" s="136" t="s">
        <v>18</v>
      </c>
      <c r="B71" s="137"/>
      <c r="C71" s="137"/>
      <c r="D71" s="28"/>
      <c r="E71" s="29">
        <f>SUM(E70,E36,E30)</f>
        <v>150862001.72999999</v>
      </c>
      <c r="F71" s="28"/>
      <c r="G71" s="29">
        <f>SUM(G70,G36,G30)+G37</f>
        <v>161593329.38999999</v>
      </c>
      <c r="H71" s="8"/>
    </row>
    <row r="72" spans="1:8" ht="31.95" customHeight="1" x14ac:dyDescent="0.3">
      <c r="A72" s="118" t="s">
        <v>24</v>
      </c>
      <c r="B72" s="119"/>
      <c r="C72" s="119"/>
      <c r="D72" s="11"/>
      <c r="E72" s="1">
        <f>SUM(C94)</f>
        <v>1300000</v>
      </c>
      <c r="F72" s="11"/>
      <c r="G72" s="1">
        <f>SUM(C94)</f>
        <v>1300000</v>
      </c>
      <c r="H72" s="8"/>
    </row>
    <row r="73" spans="1:8" ht="15.6" customHeight="1" x14ac:dyDescent="0.3">
      <c r="A73" s="138" t="s">
        <v>39</v>
      </c>
      <c r="B73" s="139"/>
      <c r="C73" s="139"/>
      <c r="D73" s="15"/>
      <c r="E73" s="1">
        <f>SUM(E71-E72)-E74</f>
        <v>5433779.7299999893</v>
      </c>
      <c r="F73" s="15"/>
      <c r="G73" s="1">
        <v>15725292</v>
      </c>
      <c r="H73" s="8"/>
    </row>
    <row r="74" spans="1:8" ht="31.95" customHeight="1" x14ac:dyDescent="0.3">
      <c r="A74" s="120" t="s">
        <v>17</v>
      </c>
      <c r="B74" s="121"/>
      <c r="C74" s="121"/>
      <c r="D74" s="27"/>
      <c r="E74" s="46">
        <v>144128222</v>
      </c>
      <c r="F74" s="27"/>
      <c r="G74" s="46">
        <v>144128222</v>
      </c>
      <c r="H74" s="7"/>
    </row>
    <row r="75" spans="1:8" ht="31.95" customHeight="1" x14ac:dyDescent="0.3">
      <c r="A75" s="143" t="s">
        <v>87</v>
      </c>
      <c r="B75" s="143"/>
      <c r="C75" s="143"/>
      <c r="D75" s="114"/>
      <c r="E75" s="115"/>
      <c r="F75" s="114"/>
      <c r="G75" s="115">
        <v>439815</v>
      </c>
      <c r="H75" s="7"/>
    </row>
    <row r="76" spans="1:8" ht="16.2" thickBot="1" x14ac:dyDescent="0.35">
      <c r="A76" s="122" t="s">
        <v>16</v>
      </c>
      <c r="B76" s="123"/>
      <c r="C76" s="123"/>
      <c r="D76" s="112"/>
      <c r="E76" s="113">
        <f>SUM(E72:E74)</f>
        <v>150862001.72999999</v>
      </c>
      <c r="F76" s="112"/>
      <c r="G76" s="113">
        <f>SUM(G72:G74)+G75</f>
        <v>161593329</v>
      </c>
    </row>
    <row r="77" spans="1:8" ht="15.6" x14ac:dyDescent="0.3">
      <c r="A77" s="17"/>
      <c r="B77" s="17"/>
      <c r="C77" s="17"/>
      <c r="D77" s="18"/>
      <c r="E77" s="19"/>
      <c r="F77" s="7"/>
    </row>
    <row r="78" spans="1:8" ht="15.6" x14ac:dyDescent="0.3">
      <c r="A78" s="135" t="s">
        <v>70</v>
      </c>
      <c r="B78" s="135"/>
      <c r="C78" s="135"/>
      <c r="D78" s="135"/>
      <c r="E78" s="19"/>
      <c r="F78" s="7"/>
    </row>
    <row r="79" spans="1:8" ht="16.2" thickBot="1" x14ac:dyDescent="0.35">
      <c r="A79" s="79"/>
      <c r="B79" s="79"/>
      <c r="C79" s="79"/>
      <c r="D79" s="79"/>
      <c r="E79" s="19"/>
      <c r="F79" s="7"/>
    </row>
    <row r="80" spans="1:8" ht="16.2" thickBot="1" x14ac:dyDescent="0.35">
      <c r="A80" s="80" t="s">
        <v>30</v>
      </c>
      <c r="B80" s="81" t="s">
        <v>69</v>
      </c>
      <c r="C80" s="82" t="s">
        <v>31</v>
      </c>
      <c r="D80" s="14"/>
      <c r="E80" s="80" t="s">
        <v>30</v>
      </c>
      <c r="F80" s="81" t="s">
        <v>69</v>
      </c>
      <c r="G80" s="82" t="s">
        <v>31</v>
      </c>
    </row>
    <row r="81" spans="1:7" ht="16.2" x14ac:dyDescent="0.35">
      <c r="A81" s="83" t="s">
        <v>29</v>
      </c>
      <c r="B81" s="84">
        <v>1673</v>
      </c>
      <c r="C81" s="85">
        <f>SUM(E73/B86)*B81</f>
        <v>1971100.0625086692</v>
      </c>
      <c r="D81" s="16"/>
      <c r="E81" s="83" t="s">
        <v>29</v>
      </c>
      <c r="F81" s="84">
        <v>1673</v>
      </c>
      <c r="G81" s="85">
        <f>SUM(G73/F86)*F81</f>
        <v>5704339.4440589761</v>
      </c>
    </row>
    <row r="82" spans="1:7" ht="16.2" x14ac:dyDescent="0.35">
      <c r="A82" s="86" t="s">
        <v>27</v>
      </c>
      <c r="B82" s="87">
        <v>271</v>
      </c>
      <c r="C82" s="85">
        <f>SUM(E73/B86)*B82</f>
        <v>319287.57736990397</v>
      </c>
      <c r="D82" s="14"/>
      <c r="E82" s="86" t="s">
        <v>27</v>
      </c>
      <c r="F82" s="87">
        <v>271</v>
      </c>
      <c r="G82" s="85">
        <f>SUM(G73/F86)*F82</f>
        <v>924014.33911535121</v>
      </c>
    </row>
    <row r="83" spans="1:7" ht="16.2" x14ac:dyDescent="0.35">
      <c r="A83" s="86" t="s">
        <v>28</v>
      </c>
      <c r="B83" s="87">
        <v>1388</v>
      </c>
      <c r="C83" s="85">
        <f>SUM(E73/B86)*B83</f>
        <v>1635317.9239462242</v>
      </c>
      <c r="D83" s="14"/>
      <c r="E83" s="86" t="s">
        <v>28</v>
      </c>
      <c r="F83" s="87">
        <v>1388</v>
      </c>
      <c r="G83" s="85">
        <f>SUM(G73/F86)*F83</f>
        <v>4732590.046834345</v>
      </c>
    </row>
    <row r="84" spans="1:7" ht="16.2" x14ac:dyDescent="0.35">
      <c r="A84" s="86" t="s">
        <v>26</v>
      </c>
      <c r="B84" s="87">
        <v>388</v>
      </c>
      <c r="C84" s="85">
        <f>SUM(E73/B86)*B84</f>
        <v>457134.98162185517</v>
      </c>
      <c r="D84" s="14"/>
      <c r="E84" s="86" t="s">
        <v>26</v>
      </c>
      <c r="F84" s="87">
        <v>388</v>
      </c>
      <c r="G84" s="85">
        <f>SUM(G73/F86)*F84</f>
        <v>1322943.039028621</v>
      </c>
    </row>
    <row r="85" spans="1:7" ht="16.8" thickBot="1" x14ac:dyDescent="0.4">
      <c r="A85" s="88" t="s">
        <v>25</v>
      </c>
      <c r="B85" s="89">
        <v>892</v>
      </c>
      <c r="C85" s="85">
        <f>SUM(E73/B86)*B85</f>
        <v>1050939.1845533371</v>
      </c>
      <c r="D85" s="14"/>
      <c r="E85" s="88" t="s">
        <v>25</v>
      </c>
      <c r="F85" s="89">
        <v>892</v>
      </c>
      <c r="G85" s="85">
        <f>SUM(G73/F86)*F85</f>
        <v>3041405.1309627057</v>
      </c>
    </row>
    <row r="86" spans="1:7" ht="16.2" thickBot="1" x14ac:dyDescent="0.35">
      <c r="A86" s="90" t="s">
        <v>32</v>
      </c>
      <c r="B86" s="91">
        <f>SUM(B81:B85)</f>
        <v>4612</v>
      </c>
      <c r="C86" s="92">
        <f>SUM(C81:C85)</f>
        <v>5433779.7299999902</v>
      </c>
      <c r="D86" s="14"/>
      <c r="E86" s="90" t="s">
        <v>32</v>
      </c>
      <c r="F86" s="91">
        <f>SUM(F81:F85)</f>
        <v>4612</v>
      </c>
      <c r="G86" s="92">
        <f>SUM(G81:G85)</f>
        <v>15725291.999999998</v>
      </c>
    </row>
    <row r="87" spans="1:7" ht="15.6" x14ac:dyDescent="0.3">
      <c r="A87" s="17"/>
      <c r="B87" s="17"/>
      <c r="C87" s="78"/>
      <c r="D87" s="18"/>
      <c r="E87" s="19"/>
      <c r="F87" s="7"/>
    </row>
    <row r="88" spans="1:7" ht="16.2" thickBot="1" x14ac:dyDescent="0.35">
      <c r="A88" s="16"/>
      <c r="B88" s="16"/>
      <c r="C88" s="16"/>
    </row>
    <row r="89" spans="1:7" ht="16.95" customHeight="1" thickBot="1" x14ac:dyDescent="0.35">
      <c r="A89" s="126" t="s">
        <v>40</v>
      </c>
      <c r="B89" s="127"/>
      <c r="C89" s="128"/>
      <c r="E89" s="80" t="s">
        <v>30</v>
      </c>
      <c r="F89" s="81" t="s">
        <v>69</v>
      </c>
      <c r="G89" s="82" t="s">
        <v>82</v>
      </c>
    </row>
    <row r="90" spans="1:7" ht="16.95" customHeight="1" x14ac:dyDescent="0.35">
      <c r="A90" s="129" t="s">
        <v>33</v>
      </c>
      <c r="B90" s="130"/>
      <c r="C90" s="22">
        <v>495000</v>
      </c>
      <c r="E90" s="83" t="s">
        <v>83</v>
      </c>
      <c r="F90" s="84">
        <v>1673</v>
      </c>
      <c r="G90" s="102">
        <f>SUM(G95/F95)*F90</f>
        <v>14.509973980919341</v>
      </c>
    </row>
    <row r="91" spans="1:7" ht="16.95" customHeight="1" x14ac:dyDescent="0.35">
      <c r="A91" s="131" t="s">
        <v>34</v>
      </c>
      <c r="B91" s="132"/>
      <c r="C91" s="20">
        <v>555000</v>
      </c>
      <c r="E91" s="86" t="s">
        <v>27</v>
      </c>
      <c r="F91" s="87">
        <v>271</v>
      </c>
      <c r="G91" s="102">
        <f>SUM(G95/F95)*F91</f>
        <v>2.3503902862098873</v>
      </c>
    </row>
    <row r="92" spans="1:7" ht="16.95" customHeight="1" x14ac:dyDescent="0.35">
      <c r="A92" s="131" t="s">
        <v>35</v>
      </c>
      <c r="B92" s="132"/>
      <c r="C92" s="20">
        <v>200000</v>
      </c>
      <c r="E92" s="86" t="s">
        <v>28</v>
      </c>
      <c r="F92" s="87">
        <v>1388</v>
      </c>
      <c r="G92" s="102">
        <f>SUM(G95/F95)*F92</f>
        <v>12.038161318300086</v>
      </c>
    </row>
    <row r="93" spans="1:7" ht="16.95" customHeight="1" thickBot="1" x14ac:dyDescent="0.4">
      <c r="A93" s="133" t="s">
        <v>36</v>
      </c>
      <c r="B93" s="134"/>
      <c r="C93" s="21">
        <v>50000</v>
      </c>
      <c r="E93" s="86" t="s">
        <v>26</v>
      </c>
      <c r="F93" s="87">
        <v>388</v>
      </c>
      <c r="G93" s="102">
        <f>SUM(G95/F95)*F93</f>
        <v>3.3651344319167387</v>
      </c>
    </row>
    <row r="94" spans="1:7" ht="16.95" customHeight="1" thickBot="1" x14ac:dyDescent="0.4">
      <c r="A94" s="124" t="s">
        <v>32</v>
      </c>
      <c r="B94" s="125"/>
      <c r="C94" s="34">
        <f>SUM(C90:C93)</f>
        <v>1300000</v>
      </c>
      <c r="E94" s="88" t="s">
        <v>25</v>
      </c>
      <c r="F94" s="89">
        <v>892</v>
      </c>
      <c r="G94" s="102">
        <f>SUM(G95/F95)*F94</f>
        <v>7.7363399826539458</v>
      </c>
    </row>
    <row r="95" spans="1:7" ht="16.2" thickBot="1" x14ac:dyDescent="0.35">
      <c r="E95" s="90" t="s">
        <v>32</v>
      </c>
      <c r="F95" s="91">
        <f>SUM(F90:F94)</f>
        <v>4612</v>
      </c>
      <c r="G95" s="103">
        <v>40</v>
      </c>
    </row>
  </sheetData>
  <mergeCells count="78">
    <mergeCell ref="A38:C38"/>
    <mergeCell ref="A25:C25"/>
    <mergeCell ref="A27:C27"/>
    <mergeCell ref="A26:C26"/>
    <mergeCell ref="A36:C36"/>
    <mergeCell ref="A35:C35"/>
    <mergeCell ref="A37:C37"/>
    <mergeCell ref="A18:C18"/>
    <mergeCell ref="A28:C28"/>
    <mergeCell ref="A19:C19"/>
    <mergeCell ref="A33:C33"/>
    <mergeCell ref="A34:C34"/>
    <mergeCell ref="A30:C30"/>
    <mergeCell ref="A31:C31"/>
    <mergeCell ref="A32:C32"/>
    <mergeCell ref="A20:C20"/>
    <mergeCell ref="A21:C21"/>
    <mergeCell ref="A23:C23"/>
    <mergeCell ref="A22:C22"/>
    <mergeCell ref="A29:C29"/>
    <mergeCell ref="A24:C24"/>
    <mergeCell ref="A5:C5"/>
    <mergeCell ref="A9:C9"/>
    <mergeCell ref="A10:C10"/>
    <mergeCell ref="A11:C11"/>
    <mergeCell ref="A6:C6"/>
    <mergeCell ref="A7:C7"/>
    <mergeCell ref="A8:C8"/>
    <mergeCell ref="A1:E3"/>
    <mergeCell ref="A56:C56"/>
    <mergeCell ref="A57:C57"/>
    <mergeCell ref="A58:C58"/>
    <mergeCell ref="A53:C53"/>
    <mergeCell ref="A55:C55"/>
    <mergeCell ref="A54:C54"/>
    <mergeCell ref="A52:C52"/>
    <mergeCell ref="A47:C47"/>
    <mergeCell ref="A49:C49"/>
    <mergeCell ref="A40:C40"/>
    <mergeCell ref="A41:C41"/>
    <mergeCell ref="A42:C42"/>
    <mergeCell ref="A43:C43"/>
    <mergeCell ref="A44:C44"/>
    <mergeCell ref="A51:C51"/>
    <mergeCell ref="A12:C12"/>
    <mergeCell ref="A13:C13"/>
    <mergeCell ref="A14:C14"/>
    <mergeCell ref="A15:C15"/>
    <mergeCell ref="A17:C17"/>
    <mergeCell ref="A16:C16"/>
    <mergeCell ref="A69:C69"/>
    <mergeCell ref="A68:C68"/>
    <mergeCell ref="A65:C65"/>
    <mergeCell ref="A66:C66"/>
    <mergeCell ref="A60:C60"/>
    <mergeCell ref="A61:C61"/>
    <mergeCell ref="A67:C67"/>
    <mergeCell ref="A59:C59"/>
    <mergeCell ref="A48:C48"/>
    <mergeCell ref="A50:C50"/>
    <mergeCell ref="A46:C46"/>
    <mergeCell ref="A45:C45"/>
    <mergeCell ref="A39:C39"/>
    <mergeCell ref="A74:C74"/>
    <mergeCell ref="A76:C76"/>
    <mergeCell ref="A94:B94"/>
    <mergeCell ref="A89:C89"/>
    <mergeCell ref="A90:B90"/>
    <mergeCell ref="A91:B91"/>
    <mergeCell ref="A92:B92"/>
    <mergeCell ref="A93:B93"/>
    <mergeCell ref="A78:D78"/>
    <mergeCell ref="A71:C71"/>
    <mergeCell ref="A73:C73"/>
    <mergeCell ref="A72:C72"/>
    <mergeCell ref="A63:C63"/>
    <mergeCell ref="A70:C70"/>
    <mergeCell ref="A75:C75"/>
  </mergeCells>
  <printOptions gridLines="1"/>
  <pageMargins left="0.59055118110236227" right="0.59055118110236227" top="0.59055118110236227" bottom="0.59055118110236227" header="0" footer="0"/>
  <pageSetup paperSize="8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 közös módosítás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Veilandics Eszter</cp:lastModifiedBy>
  <cp:lastPrinted>2026-01-21T08:37:02Z</cp:lastPrinted>
  <dcterms:created xsi:type="dcterms:W3CDTF">2020-02-19T17:15:17Z</dcterms:created>
  <dcterms:modified xsi:type="dcterms:W3CDTF">2026-02-04T09:53:05Z</dcterms:modified>
</cp:coreProperties>
</file>